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WORK\دانشگاه\elmosanaat\university\term 3\سازه های فولادی پیشرفته\"/>
    </mc:Choice>
  </mc:AlternateContent>
  <xr:revisionPtr revIDLastSave="0" documentId="13_ncr:1_{2B226544-3ABB-44AB-A26C-A4D7AC920B19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P19" i="1" s="1"/>
  <c r="J13" i="1"/>
  <c r="J14" i="1" s="1"/>
  <c r="M7" i="1"/>
  <c r="M9" i="1" s="1"/>
  <c r="M6" i="1"/>
  <c r="M8" i="1" s="1"/>
  <c r="P9" i="1"/>
  <c r="P10" i="1"/>
  <c r="P11" i="1" s="1"/>
  <c r="R7" i="1"/>
  <c r="K4" i="1"/>
  <c r="L4" i="1"/>
  <c r="M4" i="1"/>
  <c r="N4" i="1"/>
  <c r="P8" i="1" s="1"/>
  <c r="J7" i="1" s="1"/>
  <c r="J6" i="1" s="1"/>
  <c r="O4" i="1"/>
  <c r="P4" i="1"/>
  <c r="Q4" i="1"/>
  <c r="R4" i="1"/>
  <c r="M16" i="1" l="1"/>
  <c r="J17" i="1"/>
  <c r="J15" i="1"/>
  <c r="J19" i="1" s="1"/>
  <c r="J16" i="1"/>
  <c r="M17" i="1" s="1"/>
  <c r="J20" i="1"/>
  <c r="R13" i="1"/>
  <c r="R12" i="1"/>
  <c r="R6" i="1"/>
  <c r="O6" i="1" s="1"/>
  <c r="M18" i="1" l="1"/>
  <c r="J18" i="1"/>
  <c r="J21" i="1" s="1"/>
  <c r="P12" i="1"/>
  <c r="O14" i="1" s="1"/>
  <c r="M10" i="1" l="1"/>
  <c r="M12" i="1" s="1"/>
  <c r="M11" i="1"/>
  <c r="M13" i="1" s="1"/>
  <c r="M14" i="1" l="1"/>
</calcChain>
</file>

<file path=xl/sharedStrings.xml><?xml version="1.0" encoding="utf-8"?>
<sst xmlns="http://schemas.openxmlformats.org/spreadsheetml/2006/main" count="100" uniqueCount="79">
  <si>
    <t>P</t>
  </si>
  <si>
    <t>Tmax</t>
  </si>
  <si>
    <t>Fy</t>
  </si>
  <si>
    <t>Fu</t>
  </si>
  <si>
    <t>F'c</t>
  </si>
  <si>
    <t>Mx</t>
  </si>
  <si>
    <t>My</t>
  </si>
  <si>
    <t>Vx</t>
  </si>
  <si>
    <t>Vy</t>
  </si>
  <si>
    <t>نیروی محوری</t>
  </si>
  <si>
    <t>تنش تسلیم</t>
  </si>
  <si>
    <t>لنگر حول محور x</t>
  </si>
  <si>
    <t>لنگر حول محور y</t>
  </si>
  <si>
    <t>برش در جهت محور x</t>
  </si>
  <si>
    <t>برش در جهت محور y</t>
  </si>
  <si>
    <t>e =</t>
  </si>
  <si>
    <t xml:space="preserve"> B/6 =</t>
  </si>
  <si>
    <t>cm</t>
  </si>
  <si>
    <t>kg/cm2</t>
  </si>
  <si>
    <t>ضخامت</t>
  </si>
  <si>
    <t>Base Plate (mm)</t>
  </si>
  <si>
    <t>کنترل برای ادامه طراحی</t>
  </si>
  <si>
    <t>A1 =</t>
  </si>
  <si>
    <t>cm2</t>
  </si>
  <si>
    <t>C + 4d =</t>
  </si>
  <si>
    <t>A2 =</t>
  </si>
  <si>
    <t>Fc1 =</t>
  </si>
  <si>
    <t>Fc2 =</t>
  </si>
  <si>
    <t>Fc =</t>
  </si>
  <si>
    <t>کنترل تنش فشاری</t>
  </si>
  <si>
    <t>بدست آوردن صفحه زیر ستون</t>
  </si>
  <si>
    <t>b4</t>
  </si>
  <si>
    <t>a4</t>
  </si>
  <si>
    <t>b3</t>
  </si>
  <si>
    <t>a3</t>
  </si>
  <si>
    <t>b4/a4 =</t>
  </si>
  <si>
    <t>b3/a3 =</t>
  </si>
  <si>
    <t>β2 =</t>
  </si>
  <si>
    <t>β1 =</t>
  </si>
  <si>
    <t>تنش نهایی</t>
  </si>
  <si>
    <t>حداکثر پیچش</t>
  </si>
  <si>
    <t>t1 =</t>
  </si>
  <si>
    <t>t2 =</t>
  </si>
  <si>
    <t>m4 =</t>
  </si>
  <si>
    <t>m3 =</t>
  </si>
  <si>
    <t>انتخاب ما</t>
  </si>
  <si>
    <t>نیروهای طراحی</t>
  </si>
  <si>
    <t>P =</t>
  </si>
  <si>
    <r>
      <rPr>
        <sz val="11"/>
        <color theme="1"/>
        <rFont val="Calibri"/>
        <family val="2"/>
      </rPr>
      <t>Ϭc</t>
    </r>
    <r>
      <rPr>
        <sz val="11"/>
        <color theme="1"/>
        <rFont val="Calibri"/>
        <family val="2"/>
        <scheme val="minor"/>
      </rPr>
      <t xml:space="preserve"> =</t>
    </r>
  </si>
  <si>
    <t>column (cm)</t>
  </si>
  <si>
    <t>kg</t>
  </si>
  <si>
    <t>kg.cm</t>
  </si>
  <si>
    <t>M =</t>
  </si>
  <si>
    <t>طرح ورق لچکی</t>
  </si>
  <si>
    <t>Num.Stiff =</t>
  </si>
  <si>
    <t>Length =</t>
  </si>
  <si>
    <t>width =</t>
  </si>
  <si>
    <t>thick =</t>
  </si>
  <si>
    <t>mm</t>
  </si>
  <si>
    <t>I (moment of inertia) =</t>
  </si>
  <si>
    <t>cm3</t>
  </si>
  <si>
    <t>Ϭb =</t>
  </si>
  <si>
    <t>Cb =</t>
  </si>
  <si>
    <t>Ϭt =</t>
  </si>
  <si>
    <t xml:space="preserve">تنش برشی </t>
  </si>
  <si>
    <t>کنترل لچکی برای تنش نرمال</t>
  </si>
  <si>
    <t>کنترل لچکی برای تنش برشی</t>
  </si>
  <si>
    <t>Ϭh =</t>
  </si>
  <si>
    <t>کنترل لچکی برای تنش برآیند</t>
  </si>
  <si>
    <t>محاسبه اندازه جوش</t>
  </si>
  <si>
    <t>اندازه جوش قائم</t>
  </si>
  <si>
    <t>اندازه جوش افقی</t>
  </si>
  <si>
    <t>اندازه جوش</t>
  </si>
  <si>
    <t>طراحی میل مهار</t>
  </si>
  <si>
    <t>سطح مقطع میلگرد مورد نیاز</t>
  </si>
  <si>
    <t>Areq =</t>
  </si>
  <si>
    <t>N.bolts</t>
  </si>
  <si>
    <t>Ф=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</si>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</sst>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3F3F76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81">
    <xf numFmtId="0" fontId="0" fillId="0" borderId="0" xfId="0"/>
    <xf numFmtId="0" fontId="0" fillId="0" borderId="3" xfId="0" applyBorder="1" applyAlignment="1">
      <alignment horizontal="center"/>
    </xf>
    <xf numFmtId="0" fontId="4" fillId="2" borderId="4" xfId="1" applyFont="1" applyBorder="1" applyAlignment="1">
      <alignment horizontal="center"/>
    </xf>
    <xf numFmtId="0" fontId="4" fillId="2" borderId="5" xfId="1" applyFont="1" applyBorder="1" applyAlignment="1">
      <alignment horizontal="center"/>
    </xf>
    <xf numFmtId="0" fontId="4" fillId="2" borderId="6" xfId="1" applyFont="1" applyBorder="1" applyAlignment="1">
      <alignment horizontal="center"/>
    </xf>
    <xf numFmtId="0" fontId="2" fillId="3" borderId="9" xfId="2" applyBorder="1" applyAlignment="1">
      <alignment horizontal="center"/>
    </xf>
    <xf numFmtId="0" fontId="2" fillId="3" borderId="10" xfId="2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2" xfId="0" applyBorder="1"/>
    <xf numFmtId="0" fontId="0" fillId="0" borderId="14" xfId="0" applyBorder="1"/>
    <xf numFmtId="0" fontId="0" fillId="0" borderId="13" xfId="0" applyBorder="1"/>
    <xf numFmtId="0" fontId="0" fillId="0" borderId="10" xfId="0" applyBorder="1" applyAlignment="1">
      <alignment horizontal="right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right"/>
    </xf>
    <xf numFmtId="0" fontId="0" fillId="5" borderId="17" xfId="0" applyFill="1" applyBorder="1" applyAlignment="1">
      <alignment vertical="center"/>
    </xf>
    <xf numFmtId="0" fontId="0" fillId="0" borderId="19" xfId="0" applyBorder="1"/>
    <xf numFmtId="0" fontId="3" fillId="0" borderId="21" xfId="0" applyFont="1" applyBorder="1"/>
    <xf numFmtId="0" fontId="0" fillId="0" borderId="27" xfId="0" applyBorder="1" applyAlignment="1">
      <alignment horizontal="right"/>
    </xf>
    <xf numFmtId="0" fontId="0" fillId="0" borderId="7" xfId="0" applyBorder="1"/>
    <xf numFmtId="0" fontId="0" fillId="0" borderId="14" xfId="0" applyBorder="1" applyAlignment="1">
      <alignment horizontal="right"/>
    </xf>
    <xf numFmtId="0" fontId="5" fillId="0" borderId="8" xfId="0" applyFont="1" applyBorder="1" applyAlignment="1">
      <alignment horizontal="right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3" borderId="7" xfId="2" applyFont="1" applyBorder="1" applyAlignment="1">
      <alignment horizontal="center"/>
    </xf>
    <xf numFmtId="0" fontId="6" fillId="3" borderId="8" xfId="2" applyFont="1" applyBorder="1" applyAlignment="1">
      <alignment horizont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6" borderId="23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6" xfId="0" applyBorder="1"/>
    <xf numFmtId="0" fontId="0" fillId="0" borderId="0" xfId="0" applyBorder="1"/>
    <xf numFmtId="0" fontId="0" fillId="0" borderId="28" xfId="0" applyBorder="1" applyAlignment="1">
      <alignment horizontal="right"/>
    </xf>
    <xf numFmtId="0" fontId="7" fillId="0" borderId="28" xfId="0" applyFont="1" applyBorder="1" applyAlignment="1">
      <alignment horizontal="right"/>
    </xf>
    <xf numFmtId="0" fontId="0" fillId="0" borderId="20" xfId="0" applyBorder="1"/>
    <xf numFmtId="0" fontId="0" fillId="0" borderId="29" xfId="0" applyBorder="1"/>
    <xf numFmtId="0" fontId="7" fillId="0" borderId="21" xfId="0" applyFont="1" applyBorder="1" applyAlignment="1">
      <alignment horizontal="right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17" xfId="0" applyBorder="1"/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28" xfId="0" applyBorder="1" applyAlignment="1">
      <alignment horizontal="right" vertical="center"/>
    </xf>
    <xf numFmtId="0" fontId="0" fillId="0" borderId="28" xfId="0" applyFont="1" applyBorder="1" applyAlignment="1">
      <alignment horizontal="right" vertical="center"/>
    </xf>
    <xf numFmtId="0" fontId="0" fillId="0" borderId="28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right" vertical="center"/>
    </xf>
    <xf numFmtId="0" fontId="0" fillId="0" borderId="26" xfId="0" applyFill="1" applyBorder="1"/>
    <xf numFmtId="0" fontId="7" fillId="0" borderId="0" xfId="0" applyFont="1" applyFill="1" applyBorder="1" applyAlignment="1">
      <alignment horizontal="right"/>
    </xf>
    <xf numFmtId="0" fontId="0" fillId="0" borderId="17" xfId="0" applyFill="1" applyBorder="1"/>
    <xf numFmtId="0" fontId="0" fillId="0" borderId="18" xfId="0" applyBorder="1"/>
    <xf numFmtId="0" fontId="0" fillId="0" borderId="20" xfId="0" applyFill="1" applyBorder="1"/>
    <xf numFmtId="0" fontId="0" fillId="0" borderId="21" xfId="0" applyBorder="1"/>
    <xf numFmtId="0" fontId="7" fillId="0" borderId="18" xfId="0" applyFont="1" applyFill="1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28" xfId="0" applyBorder="1"/>
    <xf numFmtId="0" fontId="7" fillId="0" borderId="0" xfId="0" applyFont="1" applyBorder="1" applyAlignment="1">
      <alignment horizontal="right" vertical="center"/>
    </xf>
    <xf numFmtId="0" fontId="0" fillId="0" borderId="29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3">
    <cellStyle name="Input" xfId="2" builtinId="20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rightToLeft="1" tabSelected="1" topLeftCell="C1" zoomScaleNormal="100" workbookViewId="0">
      <selection activeCell="L28" sqref="L28"/>
    </sheetView>
  </sheetViews>
  <sheetFormatPr defaultRowHeight="14.5" x14ac:dyDescent="0.35"/>
  <cols>
    <col min="9" max="9" width="11.26953125" customWidth="1"/>
    <col min="10" max="10" width="15.36328125" customWidth="1"/>
    <col min="11" max="11" width="20.36328125" customWidth="1"/>
    <col min="12" max="12" width="19.1796875" customWidth="1"/>
    <col min="13" max="13" width="14.453125" customWidth="1"/>
    <col min="14" max="14" width="17.54296875" customWidth="1"/>
    <col min="17" max="17" width="12.26953125" customWidth="1"/>
    <col min="18" max="18" width="10.7265625" bestFit="1" customWidth="1"/>
    <col min="19" max="19" width="16.36328125" customWidth="1"/>
  </cols>
  <sheetData>
    <row r="1" spans="1:19" ht="15" thickBot="1" x14ac:dyDescent="0.4"/>
    <row r="2" spans="1:19" ht="15" thickBot="1" x14ac:dyDescent="0.4">
      <c r="G2" s="35" t="s">
        <v>49</v>
      </c>
      <c r="H2" s="36"/>
      <c r="I2" s="35" t="s">
        <v>20</v>
      </c>
      <c r="J2" s="36"/>
      <c r="K2" s="2" t="s">
        <v>14</v>
      </c>
      <c r="L2" s="3" t="s">
        <v>13</v>
      </c>
      <c r="M2" s="3" t="s">
        <v>12</v>
      </c>
      <c r="N2" s="3" t="s">
        <v>11</v>
      </c>
      <c r="O2" s="3"/>
      <c r="P2" s="3" t="s">
        <v>39</v>
      </c>
      <c r="Q2" s="3" t="s">
        <v>10</v>
      </c>
      <c r="R2" s="3" t="s">
        <v>40</v>
      </c>
      <c r="S2" s="4" t="s">
        <v>9</v>
      </c>
    </row>
    <row r="3" spans="1:19" ht="15" thickBot="1" x14ac:dyDescent="0.4">
      <c r="A3" t="s">
        <v>0</v>
      </c>
      <c r="G3" s="76">
        <v>40</v>
      </c>
      <c r="H3" s="52">
        <v>40</v>
      </c>
      <c r="I3" s="5">
        <v>900</v>
      </c>
      <c r="J3" s="6">
        <v>900</v>
      </c>
      <c r="K3" s="7" t="s">
        <v>8</v>
      </c>
      <c r="L3" s="1" t="s">
        <v>7</v>
      </c>
      <c r="M3" s="1" t="s">
        <v>6</v>
      </c>
      <c r="N3" s="1" t="s">
        <v>5</v>
      </c>
      <c r="O3" s="1" t="s">
        <v>4</v>
      </c>
      <c r="P3" s="1" t="s">
        <v>3</v>
      </c>
      <c r="Q3" s="1" t="s">
        <v>2</v>
      </c>
      <c r="R3" s="1" t="s">
        <v>1</v>
      </c>
      <c r="S3" s="8" t="s">
        <v>0</v>
      </c>
    </row>
    <row r="4" spans="1:19" ht="15" thickBot="1" x14ac:dyDescent="0.4">
      <c r="E4" s="77" t="s">
        <v>34</v>
      </c>
      <c r="F4" s="78" t="s">
        <v>33</v>
      </c>
      <c r="G4" s="78" t="s">
        <v>32</v>
      </c>
      <c r="H4" s="79" t="s">
        <v>31</v>
      </c>
      <c r="I4" s="17">
        <v>70</v>
      </c>
      <c r="J4" s="21" t="s">
        <v>19</v>
      </c>
      <c r="K4" s="9">
        <f>8000</f>
        <v>8000</v>
      </c>
      <c r="L4" s="10">
        <f>40000</f>
        <v>40000</v>
      </c>
      <c r="M4" s="10">
        <f>30000</f>
        <v>30000</v>
      </c>
      <c r="N4" s="10">
        <f>5000</f>
        <v>5000</v>
      </c>
      <c r="O4" s="10">
        <f>250</f>
        <v>250</v>
      </c>
      <c r="P4" s="10">
        <f>4200</f>
        <v>4200</v>
      </c>
      <c r="Q4" s="10">
        <f>2400</f>
        <v>2400</v>
      </c>
      <c r="R4" s="10">
        <f>0</f>
        <v>0</v>
      </c>
      <c r="S4" s="11">
        <v>550</v>
      </c>
    </row>
    <row r="5" spans="1:19" ht="15" thickBot="1" x14ac:dyDescent="0.4">
      <c r="E5" s="17">
        <v>10.25</v>
      </c>
      <c r="F5" s="80">
        <v>10.25</v>
      </c>
      <c r="G5" s="80">
        <v>10.25</v>
      </c>
      <c r="H5" s="53">
        <v>10.25</v>
      </c>
      <c r="I5" s="41" t="s">
        <v>46</v>
      </c>
      <c r="J5" s="42"/>
      <c r="K5" s="43"/>
      <c r="L5" s="41" t="s">
        <v>30</v>
      </c>
      <c r="M5" s="42"/>
      <c r="N5" s="43"/>
      <c r="O5" s="41" t="s">
        <v>21</v>
      </c>
      <c r="P5" s="42"/>
      <c r="Q5" s="42"/>
      <c r="R5" s="42"/>
      <c r="S5" s="43"/>
    </row>
    <row r="6" spans="1:19" ht="15" thickBot="1" x14ac:dyDescent="0.4">
      <c r="I6" s="45" t="s">
        <v>51</v>
      </c>
      <c r="J6" s="46">
        <f>J7*H5*(H3+2*J3)/(3*(H3+J3))</f>
        <v>2187738.5773281516</v>
      </c>
      <c r="K6" s="54" t="s">
        <v>52</v>
      </c>
      <c r="L6" s="45"/>
      <c r="M6" s="46">
        <f>H5/G5</f>
        <v>1</v>
      </c>
      <c r="N6" s="47" t="s">
        <v>35</v>
      </c>
      <c r="O6" s="37" t="str">
        <f>IF(R6&lt;R7," Continue to Design "," Change Section ")</f>
        <v xml:space="preserve"> Continue to Design </v>
      </c>
      <c r="P6" s="38"/>
      <c r="Q6" s="19" t="s">
        <v>17</v>
      </c>
      <c r="R6" s="20">
        <f>(MAX(N4,M4)/(S4*1000))*100</f>
        <v>5.4545454545454541</v>
      </c>
      <c r="S6" s="18" t="s">
        <v>15</v>
      </c>
    </row>
    <row r="7" spans="1:19" ht="15" thickBot="1" x14ac:dyDescent="0.4">
      <c r="I7" s="49" t="s">
        <v>50</v>
      </c>
      <c r="J7" s="50">
        <f>P8*(H3+I3)*H5/2</f>
        <v>327116.7968221308</v>
      </c>
      <c r="K7" s="55" t="s">
        <v>47</v>
      </c>
      <c r="L7" s="45"/>
      <c r="M7" s="46">
        <f>F5/E5</f>
        <v>1</v>
      </c>
      <c r="N7" s="47" t="s">
        <v>36</v>
      </c>
      <c r="O7" s="39"/>
      <c r="P7" s="40"/>
      <c r="Q7" s="19" t="s">
        <v>17</v>
      </c>
      <c r="R7" s="20">
        <f>MIN(J3/10,I3/10)/6</f>
        <v>15</v>
      </c>
      <c r="S7" s="22" t="s">
        <v>16</v>
      </c>
    </row>
    <row r="8" spans="1:19" ht="15" thickBot="1" x14ac:dyDescent="0.4">
      <c r="I8" s="41" t="s">
        <v>53</v>
      </c>
      <c r="J8" s="42"/>
      <c r="K8" s="43"/>
      <c r="L8" s="46"/>
      <c r="M8" s="46">
        <f>IF(M6=1,0.048,IF(M6&lt;1.1,0.055,IF(M6&lt;1.2,0.063,IF(M6&lt;1.3,0.069,IF(M6&lt;1.4,0.075,IF(M6&lt;1.5,0.081,IF(M6&lt;1.6,0.086,IF(M6&lt;1.7,0.091,IF(M6&lt;1.8,0.094,IF(M6&lt;1.9,0.098,IF(M6&lt;2,0.1,0.125)))))))))))</f>
        <v>4.8000000000000001E-2</v>
      </c>
      <c r="N8" s="48" t="s">
        <v>37</v>
      </c>
      <c r="O8" s="23" t="s">
        <v>18</v>
      </c>
      <c r="P8" s="14">
        <f>((S4*1000)/(MIN(J3/10,I3/10)^2))+((6*N4)/(J3/10*((I3/10)^3)))+((6*J3)/((I3/10)*((J3/10)^3)))</f>
        <v>67.901774119798816</v>
      </c>
      <c r="Q8" s="24" t="s">
        <v>48</v>
      </c>
      <c r="R8" s="14"/>
      <c r="S8" s="25"/>
    </row>
    <row r="9" spans="1:19" x14ac:dyDescent="0.35">
      <c r="I9" s="56"/>
      <c r="J9" s="57">
        <v>3</v>
      </c>
      <c r="K9" s="58" t="s">
        <v>54</v>
      </c>
      <c r="L9" s="46"/>
      <c r="M9" s="46">
        <f>IF(M7=0.5,0.06,IF(M7=0.6,0.074,IF(M7=0.7,0.088,IF(M7=0.8,0.097,IF(M7=0.9,0.107,IF(M7=1,0.112,IF(M7=1.2,0.12,IF(M7=1.4,0.126,IF(M7=2,0.132,0.133)))))))))</f>
        <v>0.112</v>
      </c>
      <c r="N9" s="48" t="s">
        <v>38</v>
      </c>
      <c r="O9" s="26" t="s">
        <v>23</v>
      </c>
      <c r="P9" s="13">
        <f>MIN(J3/10,I3/10)^2</f>
        <v>8100</v>
      </c>
      <c r="Q9" s="12" t="s">
        <v>22</v>
      </c>
      <c r="R9" s="13"/>
      <c r="S9" s="27"/>
    </row>
    <row r="10" spans="1:19" x14ac:dyDescent="0.35">
      <c r="I10" s="45" t="s">
        <v>58</v>
      </c>
      <c r="J10" s="59">
        <v>400</v>
      </c>
      <c r="K10" s="60" t="s">
        <v>55</v>
      </c>
      <c r="L10" s="46" t="s">
        <v>17</v>
      </c>
      <c r="M10" s="46">
        <f>M8*P12*G5^2</f>
        <v>356.85528749999992</v>
      </c>
      <c r="N10" s="48" t="s">
        <v>43</v>
      </c>
      <c r="O10" s="26" t="s">
        <v>17</v>
      </c>
      <c r="P10" s="13">
        <f>MIN(J3/10,I3/10)+4*I4</f>
        <v>370</v>
      </c>
      <c r="Q10" s="12" t="s">
        <v>24</v>
      </c>
      <c r="R10" s="13"/>
      <c r="S10" s="27"/>
    </row>
    <row r="11" spans="1:19" x14ac:dyDescent="0.35">
      <c r="I11" s="45" t="s">
        <v>58</v>
      </c>
      <c r="J11" s="59">
        <v>200</v>
      </c>
      <c r="K11" s="60" t="s">
        <v>56</v>
      </c>
      <c r="L11" s="46" t="s">
        <v>17</v>
      </c>
      <c r="M11" s="46">
        <f>M9*P12*E5^2</f>
        <v>832.66233749999992</v>
      </c>
      <c r="N11" s="48" t="s">
        <v>44</v>
      </c>
      <c r="O11" s="26" t="s">
        <v>23</v>
      </c>
      <c r="P11" s="13">
        <f>P10^2</f>
        <v>136900</v>
      </c>
      <c r="Q11" s="44" t="s">
        <v>25</v>
      </c>
      <c r="R11" s="13"/>
      <c r="S11" s="27"/>
    </row>
    <row r="12" spans="1:19" x14ac:dyDescent="0.35">
      <c r="I12" s="45" t="s">
        <v>58</v>
      </c>
      <c r="J12" s="59">
        <v>30</v>
      </c>
      <c r="K12" s="60" t="s">
        <v>57</v>
      </c>
      <c r="L12" s="46" t="s">
        <v>17</v>
      </c>
      <c r="M12" s="46">
        <f>(M10/(0.75*Q4))^0.5</f>
        <v>0.44525603589395613</v>
      </c>
      <c r="N12" s="48" t="s">
        <v>41</v>
      </c>
      <c r="O12" s="30" t="s">
        <v>18</v>
      </c>
      <c r="P12" s="29">
        <f>MIN(R12,R13)</f>
        <v>70.762499999999989</v>
      </c>
      <c r="Q12" s="28" t="s">
        <v>28</v>
      </c>
      <c r="R12" s="13">
        <f>0.85*O4*P9*((P11/P9)^0.5)/100000</f>
        <v>70.762499999999989</v>
      </c>
      <c r="S12" s="27" t="s">
        <v>26</v>
      </c>
    </row>
    <row r="13" spans="1:19" x14ac:dyDescent="0.35">
      <c r="I13" s="45" t="s">
        <v>17</v>
      </c>
      <c r="J13" s="46">
        <f>((H3*I4/10*I4/10/2+J9*J10/10*J12/10*(J10/10+I4/20))/(H3*I4/10+J9*J10/10*J12/10))</f>
        <v>26</v>
      </c>
      <c r="K13" s="60" t="s">
        <v>62</v>
      </c>
      <c r="L13" s="46" t="s">
        <v>17</v>
      </c>
      <c r="M13" s="46">
        <f>(M11/(0.75*Q4))^0.5</f>
        <v>0.68013982937334283</v>
      </c>
      <c r="N13" s="48" t="s">
        <v>42</v>
      </c>
      <c r="O13" s="30"/>
      <c r="P13" s="29"/>
      <c r="Q13" s="28"/>
      <c r="R13" s="13">
        <f>1.7*O4*P9/10000</f>
        <v>344.25</v>
      </c>
      <c r="S13" s="27" t="s">
        <v>27</v>
      </c>
    </row>
    <row r="14" spans="1:19" ht="15" thickBot="1" x14ac:dyDescent="0.4">
      <c r="I14" s="45" t="s">
        <v>60</v>
      </c>
      <c r="J14" s="59">
        <f>1/12*H3*(I4/10)^3+H3*I4/10*I4/10*(J13-I4/10)^2+1/12*J9*J12/10*(J10/10)^3+J9*J12/10*J10/10*(I4/10+J13-J10/20)^2</f>
        <v>817543.33333333337</v>
      </c>
      <c r="K14" s="60" t="s">
        <v>59</v>
      </c>
      <c r="L14" s="50" t="s">
        <v>17</v>
      </c>
      <c r="M14" s="50">
        <f>MAX(M12:M13)</f>
        <v>0.68013982937334283</v>
      </c>
      <c r="N14" s="51" t="s">
        <v>45</v>
      </c>
      <c r="O14" s="31" t="str">
        <f>IF(P12&gt;P8," OK "," NOT OK ")</f>
        <v xml:space="preserve"> OK </v>
      </c>
      <c r="P14" s="32"/>
      <c r="Q14" s="15" t="s">
        <v>29</v>
      </c>
      <c r="R14" s="15"/>
      <c r="S14" s="16"/>
    </row>
    <row r="15" spans="1:19" ht="15" thickBot="1" x14ac:dyDescent="0.4">
      <c r="I15" s="45" t="s">
        <v>18</v>
      </c>
      <c r="J15" s="59">
        <f>J6*J13/J14</f>
        <v>69.575765211872891</v>
      </c>
      <c r="K15" s="61" t="s">
        <v>61</v>
      </c>
      <c r="L15" s="41" t="s">
        <v>69</v>
      </c>
      <c r="M15" s="42"/>
      <c r="N15" s="43"/>
      <c r="O15" s="41" t="s">
        <v>73</v>
      </c>
      <c r="P15" s="42"/>
      <c r="Q15" s="42"/>
      <c r="R15" s="42"/>
      <c r="S15" s="42"/>
    </row>
    <row r="16" spans="1:19" x14ac:dyDescent="0.35">
      <c r="I16" s="45" t="s">
        <v>18</v>
      </c>
      <c r="J16" s="59">
        <f>J6*(J10/10+I4/10-J13)/J14</f>
        <v>56.195810363435797</v>
      </c>
      <c r="K16" s="61" t="s">
        <v>63</v>
      </c>
      <c r="L16" s="67" t="s">
        <v>17</v>
      </c>
      <c r="M16" s="68">
        <f>(J7*J9*(J13-I4/20))/(J14*0.77*0.3*0.9*P4)</f>
        <v>3.0930864365126858E-2</v>
      </c>
      <c r="N16" s="71" t="s">
        <v>71</v>
      </c>
      <c r="O16" s="56" t="s">
        <v>23</v>
      </c>
      <c r="P16" s="68">
        <f>MAX(M4:N4)/(0.45*P4)</f>
        <v>15.873015873015873</v>
      </c>
      <c r="Q16" s="68" t="s">
        <v>75</v>
      </c>
      <c r="R16" s="33" t="s">
        <v>74</v>
      </c>
      <c r="S16" s="34"/>
    </row>
    <row r="17" spans="9:19" x14ac:dyDescent="0.35">
      <c r="I17" s="45" t="s">
        <v>18</v>
      </c>
      <c r="J17" s="59">
        <f>J7/(J9*J10/10*J12/10)</f>
        <v>908.65776895036333</v>
      </c>
      <c r="K17" s="62" t="s">
        <v>64</v>
      </c>
      <c r="L17" s="65" t="s">
        <v>17</v>
      </c>
      <c r="M17" s="46">
        <f>((J16*J12/10/2)^2+(J7/(J12/10*(J10/10+I4/10)))^2)^0.5/(0.707*0.3*P4)</f>
        <v>2.6060350408901907</v>
      </c>
      <c r="N17" s="66" t="s">
        <v>70</v>
      </c>
      <c r="O17" s="45"/>
      <c r="P17" s="46"/>
      <c r="Q17" s="46">
        <v>8</v>
      </c>
      <c r="R17" s="72" t="s">
        <v>76</v>
      </c>
      <c r="S17" s="73"/>
    </row>
    <row r="18" spans="9:19" ht="15" thickBot="1" x14ac:dyDescent="0.4">
      <c r="I18" s="65" t="s">
        <v>18</v>
      </c>
      <c r="J18" s="46">
        <f>(J16^2+J17^2)^0.5</f>
        <v>910.39382147302342</v>
      </c>
      <c r="K18" s="61" t="s">
        <v>67</v>
      </c>
      <c r="L18" s="69" t="s">
        <v>17</v>
      </c>
      <c r="M18" s="50">
        <f>MAX(M16:M17)</f>
        <v>2.6060350408901907</v>
      </c>
      <c r="N18" s="50" t="s">
        <v>72</v>
      </c>
      <c r="O18" s="45"/>
      <c r="P18" s="46"/>
      <c r="Q18" s="46">
        <v>20</v>
      </c>
      <c r="R18" s="74" t="s">
        <v>77</v>
      </c>
      <c r="S18" s="73"/>
    </row>
    <row r="19" spans="9:19" ht="15" thickBot="1" x14ac:dyDescent="0.4">
      <c r="I19" s="45"/>
      <c r="J19" s="63" t="str">
        <f>IF(J15&lt;0.6*Q4,"OK","NOT OK")</f>
        <v>OK</v>
      </c>
      <c r="K19" s="62" t="s">
        <v>65</v>
      </c>
      <c r="O19" s="49"/>
      <c r="P19" s="50" t="str">
        <f>IF(Q17*3.14/4*((Q18-2)/10)^2&gt;P16,"OK","NOT OK")</f>
        <v>OK</v>
      </c>
      <c r="Q19" s="75" t="s">
        <v>78</v>
      </c>
      <c r="R19" s="75"/>
      <c r="S19" s="70"/>
    </row>
    <row r="20" spans="9:19" x14ac:dyDescent="0.35">
      <c r="I20" s="45"/>
      <c r="J20" s="63" t="str">
        <f>IF(J17&lt;0.4*Q4,"OK","NOT OK")</f>
        <v>OK</v>
      </c>
      <c r="K20" s="62" t="s">
        <v>66</v>
      </c>
    </row>
    <row r="21" spans="9:19" ht="15" thickBot="1" x14ac:dyDescent="0.4">
      <c r="I21" s="49"/>
      <c r="J21" s="50" t="str">
        <f>IF(J18&lt;0.75*P4,"OK","NOT OK")</f>
        <v>OK</v>
      </c>
      <c r="K21" s="64" t="s">
        <v>68</v>
      </c>
    </row>
  </sheetData>
  <mergeCells count="15">
    <mergeCell ref="R16:S16"/>
    <mergeCell ref="Q19:R19"/>
    <mergeCell ref="G2:H2"/>
    <mergeCell ref="I8:K8"/>
    <mergeCell ref="L15:N15"/>
    <mergeCell ref="O15:S15"/>
    <mergeCell ref="I2:J2"/>
    <mergeCell ref="O6:P7"/>
    <mergeCell ref="O5:S5"/>
    <mergeCell ref="L5:N5"/>
    <mergeCell ref="I5:K5"/>
    <mergeCell ref="Q12:Q13"/>
    <mergeCell ref="P12:P13"/>
    <mergeCell ref="O12:O13"/>
    <mergeCell ref="O14:P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Mohammad-Pc</dc:creator>
  <cp:lastModifiedBy>Mohammad Razavi</cp:lastModifiedBy>
  <dcterms:created xsi:type="dcterms:W3CDTF">2023-10-27T17:38:37Z</dcterms:created>
  <dcterms:modified xsi:type="dcterms:W3CDTF">2024-02-08T09:26:48Z</dcterms:modified>
</cp:coreProperties>
</file>